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-GOIÁS\SÓ GOIÁS QUE TEM\"/>
    </mc:Choice>
  </mc:AlternateContent>
  <xr:revisionPtr revIDLastSave="0" documentId="13_ncr:1_{FE6E39A7-43D9-4A98-A28A-D8B09E2461F1}" xr6:coauthVersionLast="47" xr6:coauthVersionMax="47" xr10:uidLastSave="{00000000-0000-0000-0000-000000000000}"/>
  <bookViews>
    <workbookView xWindow="-120" yWindow="-120" windowWidth="20730" windowHeight="1116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1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GO!$B$2:$V$33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31" l="1"/>
  <c r="N5" i="47"/>
  <c r="L5" i="47"/>
  <c r="O5" i="47" s="1"/>
  <c r="N4" i="47"/>
  <c r="L4" i="47"/>
  <c r="O4" i="47" s="1"/>
  <c r="N3" i="47"/>
  <c r="L3" i="47"/>
  <c r="O3" i="47" s="1"/>
  <c r="O6" i="47" s="1"/>
  <c r="H3" i="47"/>
  <c r="L43" i="31"/>
  <c r="L42" i="31"/>
  <c r="P47" i="31"/>
  <c r="J45" i="31"/>
  <c r="F43" i="31"/>
  <c r="E43" i="31"/>
  <c r="D43" i="31"/>
  <c r="F42" i="31"/>
  <c r="E42" i="31"/>
  <c r="D42" i="31"/>
  <c r="L6" i="47" l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T24" i="31" l="1"/>
  <c r="T23" i="31"/>
  <c r="T22" i="31"/>
  <c r="J31" i="31"/>
  <c r="T28" i="31"/>
  <c r="T27" i="31"/>
  <c r="T26" i="31"/>
  <c r="T21" i="31"/>
  <c r="T19" i="31"/>
  <c r="T18" i="31"/>
  <c r="T16" i="31"/>
  <c r="T15" i="31"/>
  <c r="T14" i="31"/>
  <c r="L19" i="31" l="1"/>
  <c r="O19" i="31" s="1"/>
  <c r="L18" i="31"/>
  <c r="O18" i="31" s="1"/>
  <c r="P18" i="31" l="1"/>
  <c r="V18" i="31" s="1"/>
  <c r="N42" i="31"/>
  <c r="P45" i="31" s="1"/>
  <c r="P19" i="31"/>
  <c r="V19" i="31" s="1"/>
  <c r="V31" i="31" s="1"/>
  <c r="N43" i="31"/>
  <c r="M19" i="31"/>
  <c r="M18" i="31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31" l="1"/>
  <c r="F24" i="31"/>
  <c r="F22" i="31"/>
  <c r="D27" i="31"/>
  <c r="D21" i="31"/>
  <c r="D18" i="31"/>
  <c r="E15" i="31"/>
  <c r="E24" i="31"/>
  <c r="E22" i="31"/>
  <c r="D15" i="31"/>
  <c r="D24" i="31"/>
  <c r="D22" i="31"/>
  <c r="R28" i="31"/>
  <c r="R26" i="31"/>
  <c r="R19" i="31"/>
  <c r="R16" i="31"/>
  <c r="S14" i="31"/>
  <c r="S23" i="31"/>
  <c r="L23" i="31" s="1"/>
  <c r="R23" i="31"/>
  <c r="E28" i="31"/>
  <c r="E26" i="31"/>
  <c r="E19" i="31"/>
  <c r="E16" i="31"/>
  <c r="F23" i="31"/>
  <c r="S28" i="31"/>
  <c r="L28" i="31" s="1"/>
  <c r="F18" i="31"/>
  <c r="R14" i="31"/>
  <c r="F27" i="31"/>
  <c r="F28" i="31"/>
  <c r="S21" i="31"/>
  <c r="L21" i="31" s="1"/>
  <c r="E18" i="31"/>
  <c r="S24" i="31"/>
  <c r="L24" i="31" s="1"/>
  <c r="D28" i="31"/>
  <c r="R21" i="31"/>
  <c r="F14" i="31"/>
  <c r="R24" i="31"/>
  <c r="F21" i="31"/>
  <c r="S16" i="31"/>
  <c r="L16" i="31" s="1"/>
  <c r="E14" i="31"/>
  <c r="S15" i="31"/>
  <c r="L15" i="31" s="1"/>
  <c r="S27" i="31"/>
  <c r="L27" i="31" s="1"/>
  <c r="E21" i="31"/>
  <c r="F16" i="31"/>
  <c r="D14" i="31"/>
  <c r="F19" i="31"/>
  <c r="E23" i="31"/>
  <c r="R27" i="31"/>
  <c r="D16" i="31"/>
  <c r="D23" i="31"/>
  <c r="S19" i="31"/>
  <c r="E27" i="31"/>
  <c r="R22" i="31"/>
  <c r="S26" i="31"/>
  <c r="L26" i="31" s="1"/>
  <c r="F26" i="31"/>
  <c r="S18" i="31"/>
  <c r="F15" i="31"/>
  <c r="D26" i="31"/>
  <c r="D19" i="31"/>
  <c r="R15" i="31"/>
  <c r="S22" i="31"/>
  <c r="L22" i="31" s="1"/>
  <c r="R18" i="31"/>
  <c r="I3" i="22"/>
  <c r="G3" i="22"/>
  <c r="G41" i="22"/>
  <c r="I41" i="22"/>
  <c r="O14" i="31" l="1"/>
  <c r="P14" i="31" s="1"/>
  <c r="M14" i="31"/>
  <c r="O28" i="31"/>
  <c r="P28" i="31" s="1"/>
  <c r="M28" i="31"/>
  <c r="O23" i="31"/>
  <c r="P23" i="31" s="1"/>
  <c r="M23" i="31"/>
  <c r="O15" i="31"/>
  <c r="P15" i="31" s="1"/>
  <c r="M15" i="31"/>
  <c r="O27" i="31"/>
  <c r="P27" i="31" s="1"/>
  <c r="M27" i="31"/>
  <c r="M21" i="31"/>
  <c r="O21" i="31"/>
  <c r="P21" i="31" s="1"/>
  <c r="O16" i="31"/>
  <c r="P16" i="31" s="1"/>
  <c r="M16" i="31"/>
  <c r="O24" i="31"/>
  <c r="P24" i="31" s="1"/>
  <c r="M24" i="31"/>
  <c r="O22" i="31"/>
  <c r="P22" i="31" s="1"/>
  <c r="M22" i="31"/>
  <c r="O26" i="31"/>
  <c r="P26" i="31" s="1"/>
  <c r="M26" i="31"/>
  <c r="M31" i="31" l="1"/>
  <c r="P31" i="31"/>
</calcChain>
</file>

<file path=xl/sharedStrings.xml><?xml version="1.0" encoding="utf-8"?>
<sst xmlns="http://schemas.openxmlformats.org/spreadsheetml/2006/main" count="564" uniqueCount="211">
  <si>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</si>
  <si>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</si>
  <si>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</si>
  <si>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</si>
  <si>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</si>
  <si>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</si>
  <si>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</si>
  <si>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</si>
  <si>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</si>
  <si>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</si>
  <si>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</si>
  <si>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</si>
  <si>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</si>
  <si>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</si>
  <si>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</si>
  <si>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</si>
  <si>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</si>
  <si>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</si>
  <si>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</si>
  <si>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</si>
  <si>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</si>
  <si>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</si>
  <si>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</si>
  <si>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</si>
  <si>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</si>
  <si>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</si>
  <si>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</si>
  <si>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</si>
  <si>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</si>
  <si>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</si>
  <si>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</si>
  <si>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</si>
  <si>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</si>
  <si>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</si>
  <si>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</si>
  <si>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</si>
  <si>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</si>
  <si>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</si>
  <si>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</si>
  <si>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</si>
  <si>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</si>
  <si>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</si>
  <si>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</si>
  <si>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</si>
  <si>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</si>
  <si>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</si>
  <si>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</si>
  <si>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</si>
  <si>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</si>
  <si>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</si>
  <si>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</si>
  <si>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</si>
  <si>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</si>
  <si>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</si>
  <si>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</si>
  <si>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</si>
  <si>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</si>
  <si>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</si>
  <si>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</si>
  <si>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</si>
  <si>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</si>
  <si>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</si>
  <si>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</si>
  <si>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</si>
  <si>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</si>
  <si>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</si>
  <si>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</si>
  <si>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</si>
  <si>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</si>
  <si>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</si>
  <si>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</si>
  <si>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</si>
  <si>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</si>
  <si>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</si>
  <si>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</si>
  <si>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</si>
  <si>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</si>
  <si>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</si>
  <si>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</si>
  <si>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</si>
  <si>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</si>
  <si>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</si>
  <si>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</si>
  <si>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</si>
  <si>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</si>
  <si>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</si>
  <si>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</si>
  <si>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</si>
  <si>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</si>
  <si>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</si>
  <si>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</si>
  <si>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</si>
  <si>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</si>
  <si>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</si>
  <si>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</si>
  <si>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</si>
  <si>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</si>
  <si>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</si>
  <si>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</si>
  <si>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</si>
  <si>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</si>
  <si>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</si>
  <si>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</si>
  <si>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</si>
  <si>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</si>
  <si>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</si>
  <si>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</si>
  <si>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</si>
  <si>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</si>
  <si>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</si>
  <si>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</si>
  <si>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</si>
  <si>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</si>
  <si>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</si>
  <si>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</si>
  <si>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</si>
  <si>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</si>
  <si>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</si>
  <si>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</si>
  <si>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</si>
  <si>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</si>
  <si>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</si>
  <si>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</si>
  <si>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</si>
  <si>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</si>
  <si>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</si>
  <si>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</si>
  <si>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</si>
  <si>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</si>
  <si>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</si>
  <si>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</si>
  <si>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</si>
  <si>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</si>
  <si>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</si>
  <si>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</si>
  <si>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</si>
  <si>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</si>
  <si>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</si>
  <si>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</si>
  <si>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</si>
  <si>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</si>
  <si>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</si>
  <si>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</si>
  <si>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</si>
  <si>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</si>
  <si>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</si>
  <si>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</si>
  <si>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</si>
  <si>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</si>
  <si>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</si>
  <si>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</si>
  <si>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</si>
  <si>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</si>
  <si>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</si>
  <si>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</si>
  <si>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</si>
  <si>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</si>
  <si>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</si>
  <si>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</si>
  <si>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</si>
  <si>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</si>
  <si>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</si>
  <si>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-</t>
  </si>
  <si>
    <t>SÓ GOIÁS QUE TEM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</si>
  <si>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</si>
  <si>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</si>
  <si>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</si>
  <si>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</si>
  <si>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</si>
  <si>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</si>
  <si>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</si>
  <si>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</si>
  <si>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</si>
  <si>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</si>
  <si>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</si>
  <si>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</si>
  <si>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ABRIL</t>
  </si>
  <si>
    <t>REEXIBIÇÃO RECORD PLUS</t>
  </si>
  <si>
    <t>RECORD PLUS</t>
  </si>
  <si>
    <t>TOTAL INVESTIMENTO RECORD PLUS</t>
  </si>
  <si>
    <t>VALOR PROJETO + RECORD PLUS + DAC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</si>
  <si>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</si>
  <si>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</si>
  <si>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</si>
  <si>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</si>
  <si>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</si>
  <si>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</si>
  <si>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</si>
  <si>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</si>
  <si>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</si>
  <si>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</si>
  <si>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</si>
  <si>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</si>
  <si>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</si>
  <si>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Publieditorial + Pacote de divulgação</t>
  </si>
  <si>
    <t>Site R7 Goias + Redes sociais</t>
  </si>
  <si>
    <r>
      <t xml:space="preserve">Produção de texto + Mídia envelopando o conteúdo  + Pacote de Divulgação </t>
    </r>
    <r>
      <rPr>
        <sz val="10"/>
        <color indexed="8"/>
        <rFont val="Calibri"/>
        <family val="2"/>
      </rPr>
      <t xml:space="preserve">(Posts de divulgação do conteúdo nas redes) </t>
    </r>
  </si>
  <si>
    <t>Unidade</t>
  </si>
  <si>
    <t>N/A</t>
  </si>
  <si>
    <t>Impactos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</si>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</sst>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2" fontId="3" fillId="8" borderId="29" xfId="1" applyNumberFormat="1" applyFont="1" applyFill="1" applyBorder="1" applyAlignment="1">
      <alignment horizontal="center" vertical="center"/>
    </xf>
    <xf numFmtId="0" fontId="0" fillId="0" borderId="49" xfId="0" applyBorder="1"/>
    <xf numFmtId="0" fontId="0" fillId="0" borderId="44" xfId="0" applyBorder="1"/>
    <xf numFmtId="0" fontId="0" fillId="0" borderId="24" xfId="0" applyBorder="1"/>
    <xf numFmtId="0" fontId="0" fillId="0" borderId="35" xfId="0" applyBorder="1"/>
    <xf numFmtId="0" fontId="0" fillId="0" borderId="25" xfId="0" applyBorder="1"/>
    <xf numFmtId="2" fontId="7" fillId="13" borderId="25" xfId="1" applyNumberFormat="1" applyFont="1" applyFill="1" applyBorder="1" applyAlignment="1">
      <alignment horizontal="center" vertical="center"/>
    </xf>
    <xf numFmtId="0" fontId="33" fillId="14" borderId="53" xfId="49" applyFont="1" applyFill="1" applyBorder="1" applyAlignment="1">
      <alignment horizontal="center" vertical="center"/>
    </xf>
    <xf numFmtId="0" fontId="33" fillId="14" borderId="54" xfId="49" applyFont="1" applyFill="1" applyBorder="1" applyAlignment="1">
      <alignment horizontal="center" vertical="center" wrapText="1"/>
    </xf>
    <xf numFmtId="0" fontId="33" fillId="14" borderId="54" xfId="49" applyFont="1" applyFill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168" fontId="33" fillId="14" borderId="55" xfId="49" applyNumberFormat="1" applyFont="1" applyFill="1" applyBorder="1" applyAlignment="1">
      <alignment horizontal="center" vertical="center" wrapText="1"/>
    </xf>
    <xf numFmtId="169" fontId="33" fillId="14" borderId="55" xfId="49" applyNumberFormat="1" applyFont="1" applyFill="1" applyBorder="1" applyAlignment="1">
      <alignment horizontal="center" vertical="center" wrapText="1"/>
    </xf>
    <xf numFmtId="168" fontId="33" fillId="14" borderId="55" xfId="53" applyNumberFormat="1" applyFont="1" applyFill="1" applyBorder="1" applyAlignment="1">
      <alignment horizontal="center" vertical="center" wrapText="1"/>
    </xf>
    <xf numFmtId="168" fontId="33" fillId="14" borderId="56" xfId="49" applyNumberFormat="1" applyFont="1" applyFill="1" applyBorder="1" applyAlignment="1">
      <alignment horizontal="center" vertical="center" wrapText="1"/>
    </xf>
    <xf numFmtId="0" fontId="34" fillId="15" borderId="57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9" fontId="37" fillId="16" borderId="16" xfId="43" applyFont="1" applyFill="1" applyBorder="1" applyAlignment="1">
      <alignment horizontal="center" vertical="center"/>
    </xf>
    <xf numFmtId="168" fontId="35" fillId="15" borderId="16" xfId="32" applyNumberFormat="1" applyFont="1" applyFill="1" applyBorder="1" applyAlignment="1">
      <alignment horizontal="center" vertical="center" wrapText="1"/>
    </xf>
    <xf numFmtId="168" fontId="35" fillId="17" borderId="16" xfId="32" applyNumberFormat="1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166" fontId="3" fillId="7" borderId="24" xfId="1" applyNumberFormat="1" applyFont="1" applyFill="1" applyBorder="1" applyAlignment="1">
      <alignment horizontal="center" vertical="center"/>
    </xf>
    <xf numFmtId="166" fontId="3" fillId="7" borderId="25" xfId="1" applyNumberFormat="1" applyFont="1" applyFill="1" applyBorder="1" applyAlignment="1">
      <alignment horizontal="center" vertical="center"/>
    </xf>
    <xf numFmtId="166" fontId="3" fillId="7" borderId="35" xfId="1" applyNumberFormat="1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7" fillId="11" borderId="17" xfId="2" applyFont="1" applyFill="1" applyBorder="1" applyAlignment="1">
      <alignment horizontal="center" vertical="center" wrapText="1"/>
    </xf>
    <xf numFmtId="0" fontId="7" fillId="11" borderId="48" xfId="2" applyFont="1" applyFill="1" applyBorder="1" applyAlignment="1">
      <alignment horizontal="center" vertical="center" wrapText="1"/>
    </xf>
    <xf numFmtId="0" fontId="7" fillId="11" borderId="26" xfId="2" applyFont="1" applyFill="1" applyBorder="1" applyAlignment="1">
      <alignment horizontal="center" vertical="center" wrapText="1"/>
    </xf>
    <xf numFmtId="0" fontId="7" fillId="11" borderId="40" xfId="2" applyFont="1" applyFill="1" applyBorder="1" applyAlignment="1">
      <alignment horizontal="center" vertical="center" wrapText="1"/>
    </xf>
    <xf numFmtId="0" fontId="7" fillId="11" borderId="43" xfId="2" applyFont="1" applyFill="1" applyBorder="1" applyAlignment="1">
      <alignment horizontal="center" vertical="center" wrapText="1"/>
    </xf>
    <xf numFmtId="0" fontId="7" fillId="11" borderId="39" xfId="2" applyFont="1" applyFill="1" applyBorder="1" applyAlignment="1">
      <alignment horizontal="center" vertical="center" wrapText="1"/>
    </xf>
    <xf numFmtId="166" fontId="7" fillId="11" borderId="24" xfId="2" applyNumberFormat="1" applyFont="1" applyFill="1" applyBorder="1" applyAlignment="1">
      <alignment horizontal="center" vertical="center" wrapText="1"/>
    </xf>
    <xf numFmtId="166" fontId="7" fillId="11" borderId="25" xfId="2" applyNumberFormat="1" applyFont="1" applyFill="1" applyBorder="1" applyAlignment="1">
      <alignment horizontal="center" vertical="center" wrapText="1"/>
    </xf>
    <xf numFmtId="166" fontId="7" fillId="11" borderId="35" xfId="2" applyNumberFormat="1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4" fontId="33" fillId="14" borderId="54" xfId="49" applyNumberFormat="1" applyFont="1" applyFill="1" applyBorder="1" applyAlignment="1">
      <alignment horizontal="center" vertical="center" wrapText="1"/>
    </xf>
    <xf numFmtId="4" fontId="33" fillId="14" borderId="55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12A3CB-059D-4F46-BEAB-6132446F9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168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169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171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175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164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165</v>
      </c>
      <c r="P14" s="61" t="s">
        <v>164</v>
      </c>
      <c r="Q14" s="55" t="s">
        <v>166</v>
      </c>
      <c r="R14" s="55" t="s">
        <v>92</v>
      </c>
      <c r="S14" s="55" t="s">
        <v>167</v>
      </c>
      <c r="T14" s="55" t="s">
        <v>168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169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164</v>
      </c>
      <c r="R24" s="55" t="s">
        <v>48</v>
      </c>
      <c r="S24" s="55" t="s">
        <v>170</v>
      </c>
      <c r="T24" s="55" t="s">
        <v>171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172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173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164</v>
      </c>
      <c r="R32" s="55" t="s">
        <v>48</v>
      </c>
      <c r="S32" s="55" t="s">
        <v>141</v>
      </c>
      <c r="T32" s="55" t="s">
        <v>174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172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73" t="s">
        <v>161</v>
      </c>
      <c r="Z35" s="174"/>
      <c r="AA35" s="174"/>
      <c r="AB35" s="174"/>
      <c r="AC35" s="174"/>
      <c r="AD35" s="174"/>
      <c r="AE35" s="174"/>
      <c r="AF35" s="174"/>
      <c r="AG35" s="174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70" t="s">
        <v>150</v>
      </c>
      <c r="C43" s="171"/>
      <c r="D43" s="172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4F94-D17B-4129-BA88-D1C02A576246}">
  <sheetPr>
    <pageSetUpPr fitToPage="1"/>
  </sheetPr>
  <dimension ref="B1:X47"/>
  <sheetViews>
    <sheetView showGridLines="0" tabSelected="1" zoomScale="50" zoomScaleNormal="50" zoomScaleSheetLayoutView="50" workbookViewId="0">
      <selection activeCell="C8" sqref="C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95" t="s">
        <v>163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7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1" t="s">
        <v>162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1" t="s">
        <v>157</v>
      </c>
      <c r="D10" s="182"/>
      <c r="E10" s="182"/>
      <c r="F10" s="182"/>
      <c r="G10" s="182"/>
      <c r="H10" s="182"/>
      <c r="I10" s="182"/>
      <c r="J10" s="183"/>
      <c r="K10" s="2"/>
      <c r="L10" s="184" t="s">
        <v>0</v>
      </c>
      <c r="M10" s="184"/>
      <c r="N10" s="184"/>
      <c r="O10" s="184"/>
      <c r="P10" s="184"/>
      <c r="Q10" s="2"/>
      <c r="R10" s="2"/>
      <c r="S10" s="2"/>
      <c r="T10" s="2"/>
      <c r="U10" s="2"/>
      <c r="V10" s="139" t="s">
        <v>17</v>
      </c>
    </row>
    <row r="11" spans="2:24" ht="27" customHeight="1" x14ac:dyDescent="0.25">
      <c r="C11" s="185" t="s">
        <v>33</v>
      </c>
      <c r="D11" s="185" t="s">
        <v>1</v>
      </c>
      <c r="E11" s="185" t="s">
        <v>2</v>
      </c>
      <c r="F11" s="185"/>
      <c r="G11" s="185" t="s">
        <v>20</v>
      </c>
      <c r="H11" s="185" t="s">
        <v>22</v>
      </c>
      <c r="I11" s="185" t="s">
        <v>19</v>
      </c>
      <c r="J11" s="185" t="s">
        <v>3</v>
      </c>
      <c r="K11" s="3"/>
      <c r="L11" s="201" t="s">
        <v>10</v>
      </c>
      <c r="M11" s="201"/>
      <c r="N11" s="198" t="s">
        <v>4</v>
      </c>
      <c r="O11" s="185" t="s">
        <v>11</v>
      </c>
      <c r="P11" s="185"/>
      <c r="Q11" s="3"/>
      <c r="R11" s="199" t="s">
        <v>18</v>
      </c>
      <c r="S11" s="199"/>
      <c r="T11" s="199"/>
      <c r="U11" s="3"/>
      <c r="V11" s="200" t="s">
        <v>25</v>
      </c>
    </row>
    <row r="12" spans="2:24" ht="27" customHeight="1" x14ac:dyDescent="0.25">
      <c r="C12" s="185"/>
      <c r="D12" s="185"/>
      <c r="E12" s="185"/>
      <c r="F12" s="185"/>
      <c r="G12" s="185"/>
      <c r="H12" s="185"/>
      <c r="I12" s="185"/>
      <c r="J12" s="185"/>
      <c r="K12" s="3"/>
      <c r="L12" s="201"/>
      <c r="M12" s="201"/>
      <c r="N12" s="198"/>
      <c r="O12" s="185"/>
      <c r="P12" s="185"/>
      <c r="Q12" s="3"/>
      <c r="R12" s="199"/>
      <c r="S12" s="199"/>
      <c r="T12" s="199"/>
      <c r="U12" s="3"/>
      <c r="V12" s="200"/>
    </row>
    <row r="13" spans="2:24" ht="33.75" customHeight="1" x14ac:dyDescent="0.25">
      <c r="C13" s="185"/>
      <c r="D13" s="185"/>
      <c r="E13" s="122" t="s">
        <v>5</v>
      </c>
      <c r="F13" s="122" t="s">
        <v>6</v>
      </c>
      <c r="G13" s="185"/>
      <c r="H13" s="185"/>
      <c r="I13" s="185"/>
      <c r="J13" s="185"/>
      <c r="K13" s="3"/>
      <c r="L13" s="123" t="s">
        <v>8</v>
      </c>
      <c r="M13" s="123" t="s">
        <v>9</v>
      </c>
      <c r="N13" s="198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0"/>
    </row>
    <row r="14" spans="2:24" ht="29.25" customHeight="1" x14ac:dyDescent="0.25">
      <c r="B14" s="177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2" t="s">
        <v>162</v>
      </c>
      <c r="H14" s="93" t="s">
        <v>155</v>
      </c>
      <c r="I14" s="94">
        <v>5</v>
      </c>
      <c r="J14" s="95">
        <v>100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:M16" si="0">L14*$J14</f>
        <v>285641.25000000006</v>
      </c>
      <c r="N14" s="119"/>
      <c r="O14" s="120">
        <f t="shared" ref="O14:O16" si="1">L14-L14*N14</f>
        <v>2856.4125000000004</v>
      </c>
      <c r="P14" s="121">
        <f t="shared" ref="P14:P16" si="2">O14*$J14</f>
        <v>285641.25000000006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29.25" customHeight="1" x14ac:dyDescent="0.25">
      <c r="B15" s="177"/>
      <c r="C15" s="92" t="s">
        <v>49</v>
      </c>
      <c r="D15" s="89" t="str">
        <f>IF(ISERROR(VLOOKUP(C15,'GRADE OUT 25'!$B:$G,5,0)),"",VLOOKUP(C15,'GRADE OUT 25'!$B:$G,5,0))</f>
        <v>GOIÁS NO AR</v>
      </c>
      <c r="E15" s="101" t="str">
        <f>IF(ISERROR(VLOOKUP(C15,'GRADE OUT 25'!$B:$G,2,0)),"",VLOOKUP(C15,'GRADE OUT 25'!$B:$G,2,0))</f>
        <v>SEG/SEX</v>
      </c>
      <c r="F15" s="88" t="str">
        <f>IF(ISERROR(VLOOKUP(C15,'GRADE OUT 25'!$B:$G,3,0)),"",VLOOKUP(C15,'GRADE OUT 25'!$B:$G,3,0))</f>
        <v>06H30</v>
      </c>
      <c r="G15" s="142" t="s">
        <v>162</v>
      </c>
      <c r="H15" s="93" t="s">
        <v>155</v>
      </c>
      <c r="I15" s="94">
        <v>5</v>
      </c>
      <c r="J15" s="143">
        <v>4.33</v>
      </c>
      <c r="K15" s="4"/>
      <c r="L15" s="103">
        <f>IF(C15="ROT",VLOOKUP(I15,'GRADE OUT 25'!$C$46:$D$62,2,0),(IF(H15="MERCHANDISING",SUMIFS('GRADE OUT 25'!$AD$4:$AD$33,'GRADE OUT 25'!$Y$4:$Y$33,C15,'GRADE OUT 25'!$AE$4:$AE$33,I15),(IF(H15="INSERT",SUMIFS('GRADE OUT 25'!$AF$36:$AF$41,'GRADE OUT 25'!$Y$36:$Y$41,C15,'GRADE OUT 25'!$AE$36:$AE$41,I15),S15*T15)))))</f>
        <v>1005</v>
      </c>
      <c r="M15" s="104">
        <f t="shared" si="0"/>
        <v>4351.6499999999996</v>
      </c>
      <c r="N15" s="99"/>
      <c r="O15" s="107">
        <f t="shared" si="1"/>
        <v>1005</v>
      </c>
      <c r="P15" s="108">
        <f t="shared" si="2"/>
        <v>4351.6499999999996</v>
      </c>
      <c r="Q15" s="4"/>
      <c r="R15" s="111" t="str">
        <f>IF(ISERROR(VLOOKUP(C15,'GRADE OUT 25'!$B:$G,5,0)),"",VLOOKUP(C15,'GRADE OUT 25'!$B:$G,5,0))</f>
        <v>GOIÁS NO AR</v>
      </c>
      <c r="S15" s="112">
        <f>IF(ISERROR(VLOOKUP(C15,'GRADE OUT 25'!$B:$H,7,0)),0,VLOOKUP(C15,'GRADE OUT 25'!$B:$H,7,0))</f>
        <v>2680</v>
      </c>
      <c r="T15" s="113">
        <f>IF(H15="INSERT",0.8,IF(ISERROR(IF(I15=180,6,IF(I15=150,5,IF(I15=120,4,IF(I15=90,3,IF(I15=60,2,IF(I15=45,1.5,IF(I15=30,1,IF(I15=10,0.4,IF(I15=7.5,0.4,IF(I15=7,0.4,IF(I15=5,0.375,IF(I15=15,VLOOKUP(C15,'GRADE OUT 25'!$B:$L,11,0),"0"))))))))))))),0,IF(I15=180,6,IF(I15=150,5,IF(I15=120,4,IF(I15=90,3,IF(I15=60,2,IF(I15=45,1.5,IF(I15=30,1,IF(I15=10,0.4,IF(I15=7.5,0.4,IF(I15=7,0.4,IF(I15=5,0.375,IF(I15=15,VLOOKUP(C15,'GRADE OUT 25'!$B:$L,11,0),"0"))))))))))))))</f>
        <v>0.375</v>
      </c>
      <c r="U15" s="4"/>
    </row>
    <row r="16" spans="2:24" ht="29.25" customHeight="1" x14ac:dyDescent="0.25">
      <c r="B16" s="177"/>
      <c r="C16" s="92" t="s">
        <v>56</v>
      </c>
      <c r="D16" s="89" t="str">
        <f>IF(ISERROR(VLOOKUP(C16,'GRADE OUT 25'!$B:$G,5,0)),"",VLOOKUP(C16,'GRADE OUT 25'!$B:$G,5,0))</f>
        <v>BALANÇO GERAL GO</v>
      </c>
      <c r="E16" s="101" t="str">
        <f>IF(ISERROR(VLOOKUP(C16,'GRADE OUT 25'!$B:$G,2,0)),"",VLOOKUP(C16,'GRADE OUT 25'!$B:$G,2,0))</f>
        <v>SEG/SEX</v>
      </c>
      <c r="F16" s="88" t="str">
        <f>IF(ISERROR(VLOOKUP(C16,'GRADE OUT 25'!$B:$G,3,0)),"",VLOOKUP(C16,'GRADE OUT 25'!$B:$G,3,0))</f>
        <v>11H30</v>
      </c>
      <c r="G16" s="142" t="s">
        <v>162</v>
      </c>
      <c r="H16" s="93" t="s">
        <v>155</v>
      </c>
      <c r="I16" s="94">
        <v>5</v>
      </c>
      <c r="J16" s="143">
        <v>4.33</v>
      </c>
      <c r="K16" s="4"/>
      <c r="L16" s="103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3100.125</v>
      </c>
      <c r="M16" s="104">
        <f t="shared" si="0"/>
        <v>13423.54125</v>
      </c>
      <c r="N16" s="99"/>
      <c r="O16" s="107">
        <f t="shared" si="1"/>
        <v>3100.125</v>
      </c>
      <c r="P16" s="108">
        <f t="shared" si="2"/>
        <v>13423.54125</v>
      </c>
      <c r="Q16" s="4"/>
      <c r="R16" s="111" t="str">
        <f>IF(ISERROR(VLOOKUP(C16,'GRADE OUT 25'!$B:$G,5,0)),"",VLOOKUP(C16,'GRADE OUT 25'!$B:$G,5,0))</f>
        <v>BALANÇO GERAL GO</v>
      </c>
      <c r="S16" s="112">
        <f>IF(ISERROR(VLOOKUP(C16,'GRADE OUT 25'!$B:$H,7,0)),0,VLOOKUP(C16,'GRADE OUT 25'!$B:$H,7,0))</f>
        <v>8267</v>
      </c>
      <c r="T16" s="113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0.375</v>
      </c>
      <c r="U16" s="4"/>
    </row>
    <row r="17" spans="2:22" ht="15.75" customHeight="1" x14ac:dyDescent="0.5">
      <c r="B17" s="29"/>
    </row>
    <row r="18" spans="2:22" ht="29.25" customHeight="1" x14ac:dyDescent="0.25">
      <c r="B18" s="177" t="s">
        <v>28</v>
      </c>
      <c r="C18" s="92" t="s">
        <v>49</v>
      </c>
      <c r="D18" s="89" t="str">
        <f>IF(ISERROR(VLOOKUP(C18,'GRADE OUT 25'!$B:$G,5,0)),"",VLOOKUP(C18,'GRADE OUT 25'!$B:$G,5,0))</f>
        <v>GOIÁS NO AR</v>
      </c>
      <c r="E18" s="101" t="str">
        <f>IF(ISERROR(VLOOKUP(C18,'GRADE OUT 25'!$B:$G,2,0)),"",VLOOKUP(C18,'GRADE OUT 25'!$B:$G,2,0))</f>
        <v>SEG/SEX</v>
      </c>
      <c r="F18" s="88" t="str">
        <f>IF(ISERROR(VLOOKUP(C18,'GRADE OUT 25'!$B:$G,3,0)),"",VLOOKUP(C18,'GRADE OUT 25'!$B:$G,3,0))</f>
        <v>06H30</v>
      </c>
      <c r="G18" s="93" t="s">
        <v>162</v>
      </c>
      <c r="H18" s="93" t="s">
        <v>28</v>
      </c>
      <c r="I18" s="94">
        <v>60</v>
      </c>
      <c r="J18" s="143">
        <v>4.33</v>
      </c>
      <c r="K18" s="4"/>
      <c r="L18" s="117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5916</v>
      </c>
      <c r="M18" s="118">
        <f t="shared" ref="M18:M19" si="3">L18*$J18</f>
        <v>25616.28</v>
      </c>
      <c r="N18" s="119"/>
      <c r="O18" s="120">
        <f t="shared" ref="O18:O19" si="4">L18-L18*N18</f>
        <v>5916</v>
      </c>
      <c r="P18" s="121">
        <f t="shared" ref="P18:P19" si="5">O18*$J18</f>
        <v>25616.28</v>
      </c>
      <c r="Q18" s="4"/>
      <c r="R18" s="111" t="str">
        <f>IF(ISERROR(VLOOKUP(C18,'GRADE OUT 25'!$B:$G,5,0)),"",VLOOKUP(C18,'GRADE OUT 25'!$B:$G,5,0))</f>
        <v>GOIÁS NO AR</v>
      </c>
      <c r="S18" s="112">
        <f>IF(ISERROR(VLOOKUP(C18,'GRADE OUT 25'!$B:$H,7,0)),0,VLOOKUP(C18,'GRADE OUT 25'!$B:$H,7,0))</f>
        <v>2680</v>
      </c>
      <c r="T18" s="113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2</v>
      </c>
      <c r="U18" s="4"/>
      <c r="V18" s="125">
        <f t="shared" ref="V18:V19" si="6">P18*20%</f>
        <v>5123.2560000000003</v>
      </c>
    </row>
    <row r="19" spans="2:22" ht="29.25" customHeight="1" x14ac:dyDescent="0.25">
      <c r="B19" s="177"/>
      <c r="C19" s="92" t="s">
        <v>56</v>
      </c>
      <c r="D19" s="89" t="str">
        <f>IF(ISERROR(VLOOKUP(C19,'GRADE OUT 25'!$B:$G,5,0)),"",VLOOKUP(C19,'GRADE OUT 25'!$B:$G,5,0))</f>
        <v>BALANÇO GERAL GO</v>
      </c>
      <c r="E19" s="101" t="str">
        <f>IF(ISERROR(VLOOKUP(C19,'GRADE OUT 25'!$B:$G,2,0)),"",VLOOKUP(C19,'GRADE OUT 25'!$B:$G,2,0))</f>
        <v>SEG/SEX</v>
      </c>
      <c r="F19" s="88" t="str">
        <f>IF(ISERROR(VLOOKUP(C19,'GRADE OUT 25'!$B:$G,3,0)),"",VLOOKUP(C19,'GRADE OUT 25'!$B:$G,3,0))</f>
        <v>11H30</v>
      </c>
      <c r="G19" s="93" t="s">
        <v>162</v>
      </c>
      <c r="H19" s="93" t="s">
        <v>28</v>
      </c>
      <c r="I19" s="94">
        <v>60</v>
      </c>
      <c r="J19" s="143">
        <v>4.33</v>
      </c>
      <c r="K19" s="4"/>
      <c r="L19" s="103">
        <f>IF(C19="ROT",VLOOKUP(I19,'GRADE OUT 25'!$C$46:$D$62,2,0),(IF(H19="MERCHANDISING",SUMIFS('GRADE OUT 25'!$AD$4:$AD$33,'GRADE OUT 25'!$Y$4:$Y$33,C19,'GRADE OUT 25'!$AE$4:$AE$33,I19),(IF(H19="INSERT",SUMIFS('GRADE OUT 25'!$AF$36:$AF$41,'GRADE OUT 25'!$Y$36:$Y$41,C19,'GRADE OUT 25'!$AE$36:$AE$41,I19),S19*T19)))))</f>
        <v>18360</v>
      </c>
      <c r="M19" s="104">
        <f t="shared" si="3"/>
        <v>79498.8</v>
      </c>
      <c r="N19" s="99"/>
      <c r="O19" s="107">
        <f t="shared" si="4"/>
        <v>18360</v>
      </c>
      <c r="P19" s="108">
        <f t="shared" si="5"/>
        <v>79498.8</v>
      </c>
      <c r="Q19" s="4"/>
      <c r="R19" s="111" t="str">
        <f>IF(ISERROR(VLOOKUP(C19,'GRADE OUT 25'!$B:$G,5,0)),"",VLOOKUP(C19,'GRADE OUT 25'!$B:$G,5,0))</f>
        <v>BALANÇO GERAL GO</v>
      </c>
      <c r="S19" s="112">
        <f>IF(ISERROR(VLOOKUP(C19,'GRADE OUT 25'!$B:$H,7,0)),0,VLOOKUP(C19,'GRADE OUT 25'!$B:$H,7,0))</f>
        <v>8267</v>
      </c>
      <c r="T19" s="113">
        <f>IF(H19="INSERT",0.8,IF(ISERROR(IF(I19=180,6,IF(I19=150,5,IF(I19=120,4,IF(I19=90,3,IF(I19=60,2,IF(I19=45,1.5,IF(I19=30,1,IF(I19=10,0.4,IF(I19=7.5,0.4,IF(I19=7,0.4,IF(I19=5,0.375,IF(I19=15,VLOOKUP(C19,'GRADE OUT 25'!$B:$L,11,0),"0"))))))))))))),0,IF(I19=180,6,IF(I19=150,5,IF(I19=120,4,IF(I19=90,3,IF(I19=60,2,IF(I19=45,1.5,IF(I19=30,1,IF(I19=10,0.4,IF(I19=7.5,0.4,IF(I19=7,0.4,IF(I19=5,0.375,IF(I19=15,VLOOKUP(C19,'GRADE OUT 25'!$B:$L,11,0),"0"))))))))))))))</f>
        <v>2</v>
      </c>
      <c r="U19" s="4"/>
      <c r="V19" s="125">
        <f t="shared" si="6"/>
        <v>15899.760000000002</v>
      </c>
    </row>
    <row r="20" spans="2:22" ht="15.75" customHeight="1" x14ac:dyDescent="0.5">
      <c r="B20" s="29"/>
    </row>
    <row r="21" spans="2:22" ht="29.25" customHeight="1" x14ac:dyDescent="0.25">
      <c r="B21" s="177" t="s">
        <v>29</v>
      </c>
      <c r="C21" s="92" t="s">
        <v>49</v>
      </c>
      <c r="D21" s="89" t="str">
        <f>IF(ISERROR(VLOOKUP(C21,'GRADE OUT 25'!$B:$G,5,0)),"",VLOOKUP(C21,'GRADE OUT 25'!$B:$G,5,0))</f>
        <v>GOIÁS NO AR</v>
      </c>
      <c r="E21" s="101" t="str">
        <f>IF(ISERROR(VLOOKUP(C21,'GRADE OUT 25'!$B:$G,2,0)),"",VLOOKUP(C21,'GRADE OUT 25'!$B:$G,2,0))</f>
        <v>SEG/SEX</v>
      </c>
      <c r="F21" s="88" t="str">
        <f>IF(ISERROR(VLOOKUP(C21,'GRADE OUT 25'!$B:$G,3,0)),"",VLOOKUP(C21,'GRADE OUT 25'!$B:$G,3,0))</f>
        <v>06H30</v>
      </c>
      <c r="G21" s="93" t="s">
        <v>162</v>
      </c>
      <c r="H21" s="93" t="s">
        <v>156</v>
      </c>
      <c r="I21" s="94">
        <v>30</v>
      </c>
      <c r="J21" s="95">
        <v>4</v>
      </c>
      <c r="K21" s="4"/>
      <c r="L21" s="117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2680</v>
      </c>
      <c r="M21" s="118">
        <f t="shared" ref="M21" si="7">L21*$J21</f>
        <v>10720</v>
      </c>
      <c r="N21" s="119"/>
      <c r="O21" s="120">
        <f t="shared" ref="O21" si="8">L21-L21*N21</f>
        <v>2680</v>
      </c>
      <c r="P21" s="121">
        <f t="shared" ref="P21" si="9">O21*$J21</f>
        <v>10720</v>
      </c>
      <c r="Q21" s="4"/>
      <c r="R21" s="111" t="str">
        <f>IF(ISERROR(VLOOKUP(C21,'GRADE OUT 25'!$B:$G,5,0)),"",VLOOKUP(C21,'GRADE OUT 25'!$B:$G,5,0))</f>
        <v>GOIÁS NO AR</v>
      </c>
      <c r="S21" s="112">
        <f>IF(ISERROR(VLOOKUP(C21,'GRADE OUT 25'!$B:$H,7,0)),0,VLOOKUP(C21,'GRADE OUT 25'!$B:$H,7,0))</f>
        <v>2680</v>
      </c>
      <c r="T21" s="113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1</v>
      </c>
      <c r="U21" s="4"/>
    </row>
    <row r="22" spans="2:22" ht="29.25" customHeight="1" x14ac:dyDescent="0.25">
      <c r="B22" s="177"/>
      <c r="C22" s="92" t="s">
        <v>56</v>
      </c>
      <c r="D22" s="89" t="str">
        <f>IF(ISERROR(VLOOKUP(C22,'GRADE OUT 25'!$B:$G,5,0)),"",VLOOKUP(C22,'GRADE OUT 25'!$B:$G,5,0))</f>
        <v>BALANÇO GERAL GO</v>
      </c>
      <c r="E22" s="101" t="str">
        <f>IF(ISERROR(VLOOKUP(C22,'GRADE OUT 25'!$B:$G,2,0)),"",VLOOKUP(C22,'GRADE OUT 25'!$B:$G,2,0))</f>
        <v>SEG/SEX</v>
      </c>
      <c r="F22" s="88" t="str">
        <f>IF(ISERROR(VLOOKUP(C22,'GRADE OUT 25'!$B:$G,3,0)),"",VLOOKUP(C22,'GRADE OUT 25'!$B:$G,3,0))</f>
        <v>11H30</v>
      </c>
      <c r="G22" s="93" t="s">
        <v>162</v>
      </c>
      <c r="H22" s="93" t="s">
        <v>156</v>
      </c>
      <c r="I22" s="94">
        <v>30</v>
      </c>
      <c r="J22" s="95">
        <v>4</v>
      </c>
      <c r="K22" s="4"/>
      <c r="L22" s="117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8267</v>
      </c>
      <c r="M22" s="118">
        <f t="shared" ref="M22:M24" si="10">L22*$J22</f>
        <v>33068</v>
      </c>
      <c r="N22" s="119"/>
      <c r="O22" s="120">
        <f t="shared" ref="O22:O24" si="11">L22-L22*N22</f>
        <v>8267</v>
      </c>
      <c r="P22" s="121">
        <f t="shared" ref="P22:P24" si="12">O22*$J22</f>
        <v>33068</v>
      </c>
      <c r="Q22" s="4"/>
      <c r="R22" s="111" t="str">
        <f>IF(ISERROR(VLOOKUP(C22,'GRADE OUT 25'!$B:$G,5,0)),"",VLOOKUP(C22,'GRADE OUT 25'!$B:$G,5,0))</f>
        <v>BALANÇO GERAL GO</v>
      </c>
      <c r="S22" s="112">
        <f>IF(ISERROR(VLOOKUP(C22,'GRADE OUT 25'!$B:$H,7,0)),0,VLOOKUP(C22,'GRADE OUT 25'!$B:$H,7,0))</f>
        <v>8267</v>
      </c>
      <c r="T22" s="113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1</v>
      </c>
      <c r="U22" s="4"/>
    </row>
    <row r="23" spans="2:22" ht="29.25" customHeight="1" x14ac:dyDescent="0.25">
      <c r="B23" s="177"/>
      <c r="C23" s="92" t="s">
        <v>73</v>
      </c>
      <c r="D23" s="89" t="str">
        <f>IF(ISERROR(VLOOKUP(C23,'GRADE OUT 25'!$B:$G,5,0)),"",VLOOKUP(C23,'GRADE OUT 25'!$B:$G,5,0))</f>
        <v>CIDADE ALERTA GO</v>
      </c>
      <c r="E23" s="101" t="str">
        <f>IF(ISERROR(VLOOKUP(C23,'GRADE OUT 25'!$B:$G,2,0)),"",VLOOKUP(C23,'GRADE OUT 25'!$B:$G,2,0))</f>
        <v>SEG/SEX</v>
      </c>
      <c r="F23" s="88" t="str">
        <f>IF(ISERROR(VLOOKUP(C23,'GRADE OUT 25'!$B:$G,3,0)),"",VLOOKUP(C23,'GRADE OUT 25'!$B:$G,3,0))</f>
        <v>18H00</v>
      </c>
      <c r="G23" s="93" t="s">
        <v>162</v>
      </c>
      <c r="H23" s="93" t="s">
        <v>156</v>
      </c>
      <c r="I23" s="94">
        <v>30</v>
      </c>
      <c r="J23" s="95">
        <v>4</v>
      </c>
      <c r="K23" s="4"/>
      <c r="L23" s="117">
        <f>IF(C23="ROT",VLOOKUP(I23,'GRADE OUT 25'!$C$46:$D$62,2,0),(IF(H23="MERCHANDISING",SUMIFS('GRADE OUT 25'!$AD$4:$AD$33,'GRADE OUT 25'!$Y$4:$Y$33,C23,'GRADE OUT 25'!$AE$4:$AE$33,I23),(IF(H23="INSERT",SUMIFS('GRADE OUT 25'!$AF$36:$AF$41,'GRADE OUT 25'!$Y$36:$Y$41,C23,'GRADE OUT 25'!$AE$36:$AE$41,I23),S23*T23)))))</f>
        <v>7722</v>
      </c>
      <c r="M23" s="118">
        <f t="shared" si="10"/>
        <v>30888</v>
      </c>
      <c r="N23" s="119"/>
      <c r="O23" s="120">
        <f t="shared" si="11"/>
        <v>7722</v>
      </c>
      <c r="P23" s="121">
        <f t="shared" si="12"/>
        <v>30888</v>
      </c>
      <c r="Q23" s="4"/>
      <c r="R23" s="111" t="str">
        <f>IF(ISERROR(VLOOKUP(C23,'GRADE OUT 25'!$B:$G,5,0)),"",VLOOKUP(C23,'GRADE OUT 25'!$B:$G,5,0))</f>
        <v>CIDADE ALERTA GO</v>
      </c>
      <c r="S23" s="112">
        <f>IF(ISERROR(VLOOKUP(C23,'GRADE OUT 25'!$B:$H,7,0)),0,VLOOKUP(C23,'GRADE OUT 25'!$B:$H,7,0))</f>
        <v>7722</v>
      </c>
      <c r="T23" s="113">
        <f>IF(H23="INSERT",0.8,IF(ISERROR(IF(I23=180,6,IF(I23=150,5,IF(I23=120,4,IF(I23=90,3,IF(I23=60,2,IF(I23=45,1.5,IF(I23=30,1,IF(I23=10,0.4,IF(I23=7.5,0.4,IF(I23=7,0.4,IF(I23=5,0.375,IF(I23=15,VLOOKUP(C23,'GRADE OUT 25'!$B:$L,11,0),"0"))))))))))))),0,IF(I23=180,6,IF(I23=150,5,IF(I23=120,4,IF(I23=90,3,IF(I23=60,2,IF(I23=45,1.5,IF(I23=30,1,IF(I23=10,0.4,IF(I23=7.5,0.4,IF(I23=7,0.4,IF(I23=5,0.375,IF(I23=15,VLOOKUP(C23,'GRADE OUT 25'!$B:$L,11,0),"0"))))))))))))))</f>
        <v>1</v>
      </c>
      <c r="U23" s="4"/>
    </row>
    <row r="24" spans="2:22" ht="29.25" customHeight="1" x14ac:dyDescent="0.25">
      <c r="B24" s="177"/>
      <c r="C24" s="92" t="s">
        <v>77</v>
      </c>
      <c r="D24" s="89" t="str">
        <f>IF(ISERROR(VLOOKUP(C24,'GRADE OUT 25'!$B:$G,5,0)),"",VLOOKUP(C24,'GRADE OUT 25'!$B:$G,5,0))</f>
        <v>GOIÁS RECORD</v>
      </c>
      <c r="E24" s="101" t="str">
        <f>IF(ISERROR(VLOOKUP(C24,'GRADE OUT 25'!$B:$G,2,0)),"",VLOOKUP(C24,'GRADE OUT 25'!$B:$G,2,0))</f>
        <v>SEG/SEX</v>
      </c>
      <c r="F24" s="88" t="str">
        <f>IF(ISERROR(VLOOKUP(C24,'GRADE OUT 25'!$B:$G,3,0)),"",VLOOKUP(C24,'GRADE OUT 25'!$B:$G,3,0))</f>
        <v>19H10</v>
      </c>
      <c r="G24" s="93" t="s">
        <v>162</v>
      </c>
      <c r="H24" s="93" t="s">
        <v>156</v>
      </c>
      <c r="I24" s="94">
        <v>30</v>
      </c>
      <c r="J24" s="95">
        <v>4</v>
      </c>
      <c r="K24" s="4"/>
      <c r="L24" s="117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10396</v>
      </c>
      <c r="M24" s="118">
        <f t="shared" si="10"/>
        <v>41584</v>
      </c>
      <c r="N24" s="119"/>
      <c r="O24" s="120">
        <f t="shared" si="11"/>
        <v>10396</v>
      </c>
      <c r="P24" s="121">
        <f t="shared" si="12"/>
        <v>41584</v>
      </c>
      <c r="Q24" s="4"/>
      <c r="R24" s="111" t="str">
        <f>IF(ISERROR(VLOOKUP(C24,'GRADE OUT 25'!$B:$G,5,0)),"",VLOOKUP(C24,'GRADE OUT 25'!$B:$G,5,0))</f>
        <v>GOIÁS RECORD</v>
      </c>
      <c r="S24" s="112">
        <f>IF(ISERROR(VLOOKUP(C24,'GRADE OUT 25'!$B:$H,7,0)),0,VLOOKUP(C24,'GRADE OUT 25'!$B:$H,7,0))</f>
        <v>10396</v>
      </c>
      <c r="T24" s="11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15.75" customHeight="1" x14ac:dyDescent="0.5">
      <c r="B25" s="29"/>
    </row>
    <row r="26" spans="2:22" ht="29.25" hidden="1" customHeight="1" x14ac:dyDescent="0.25">
      <c r="B26" s="177" t="s">
        <v>30</v>
      </c>
      <c r="C26" s="92"/>
      <c r="D26" s="89" t="str">
        <f>IF(ISERROR(VLOOKUP(C26,'GRADE OUT 25'!$B:$G,5,0)),"",VLOOKUP(C26,'GRADE OUT 25'!$B:$G,5,0))</f>
        <v/>
      </c>
      <c r="E26" s="101" t="str">
        <f>IF(ISERROR(VLOOKUP(C26,'GRADE OUT 25'!$B:$G,2,0)),"",VLOOKUP(C26,'GRADE OUT 25'!$B:$G,2,0))</f>
        <v/>
      </c>
      <c r="F26" s="88" t="str">
        <f>IF(ISERROR(VLOOKUP(C26,'GRADE OUT 25'!$B:$G,3,0)),"",VLOOKUP(C26,'GRADE OUT 25'!$B:$G,3,0))</f>
        <v/>
      </c>
      <c r="G26" s="93"/>
      <c r="H26" s="93"/>
      <c r="I26" s="94"/>
      <c r="J26" s="95"/>
      <c r="K26" s="4"/>
      <c r="L26" s="117">
        <f>IF(C26="ROT",VLOOKUP(I26,'GRADE OUT 25'!$C$46:$D$62,2,0),(IF(H26="MERCHANDISING",SUMIFS('GRADE OUT 25'!$AD$4:$AD$33,'GRADE OUT 25'!$Y$4:$Y$33,C26,'GRADE OUT 25'!$AE$4:$AE$33,I26),(IF(H26="INSERT",SUMIFS('GRADE OUT 25'!$AF$36:$AF$41,'GRADE OUT 25'!$Y$36:$Y$41,C26,'GRADE OUT 25'!$AE$36:$AE$41,I26),S26*T26)))))</f>
        <v>0</v>
      </c>
      <c r="M26" s="118">
        <f t="shared" ref="M26:M28" si="13">L26*$J26</f>
        <v>0</v>
      </c>
      <c r="N26" s="119"/>
      <c r="O26" s="120">
        <f t="shared" ref="O26:O28" si="14">L26-L26*N26</f>
        <v>0</v>
      </c>
      <c r="P26" s="121">
        <f t="shared" ref="P26:P28" si="15">O26*$J26</f>
        <v>0</v>
      </c>
      <c r="Q26" s="4"/>
      <c r="R26" s="111" t="str">
        <f>IF(ISERROR(VLOOKUP(C26,'GRADE OUT 25'!$B:$G,5,0)),"",VLOOKUP(C26,'GRADE OUT 25'!$B:$G,5,0))</f>
        <v/>
      </c>
      <c r="S26" s="112">
        <f>IF(ISERROR(VLOOKUP(C26,'GRADE OUT 25'!$B:$H,7,0)),0,VLOOKUP(C26,'GRADE OUT 25'!$B:$H,7,0))</f>
        <v>0</v>
      </c>
      <c r="T26" s="113" t="str">
        <f>IF(H26="INSERT",0.8,IF(ISERROR(IF(I26=180,6,IF(I26=150,5,IF(I26=120,4,IF(I26=90,3,IF(I26=60,2,IF(I26=45,1.5,IF(I26=30,1,IF(I26=10,0.4,IF(I26=7.5,0.4,IF(I26=7,0.4,IF(I26=5,0.375,IF(I26=15,VLOOKUP(C26,'GRADE OUT 25'!$B:$L,11,0),"0"))))))))))))),0,IF(I26=180,6,IF(I26=150,5,IF(I26=120,4,IF(I26=90,3,IF(I26=60,2,IF(I26=45,1.5,IF(I26=30,1,IF(I26=10,0.4,IF(I26=7.5,0.4,IF(I26=7,0.4,IF(I26=5,0.375,IF(I26=15,VLOOKUP(C26,'GRADE OUT 25'!$B:$L,11,0),"0"))))))))))))))</f>
        <v>0</v>
      </c>
      <c r="U26" s="4"/>
    </row>
    <row r="27" spans="2:22" ht="29.25" hidden="1" customHeight="1" x14ac:dyDescent="0.25">
      <c r="B27" s="177"/>
      <c r="C27" s="92"/>
      <c r="D27" s="89" t="str">
        <f>IF(ISERROR(VLOOKUP(C27,'GRADE OUT 25'!$B:$G,5,0)),"",VLOOKUP(C27,'GRADE OUT 25'!$B:$G,5,0))</f>
        <v/>
      </c>
      <c r="E27" s="101" t="str">
        <f>IF(ISERROR(VLOOKUP(C27,'GRADE OUT 25'!$B:$G,2,0)),"",VLOOKUP(C27,'GRADE OUT 25'!$B:$G,2,0))</f>
        <v/>
      </c>
      <c r="F27" s="88" t="str">
        <f>IF(ISERROR(VLOOKUP(C27,'GRADE OUT 25'!$B:$G,3,0)),"",VLOOKUP(C27,'GRADE OUT 25'!$B:$G,3,0))</f>
        <v/>
      </c>
      <c r="G27" s="93"/>
      <c r="H27" s="93"/>
      <c r="I27" s="94"/>
      <c r="J27" s="95"/>
      <c r="K27" s="4"/>
      <c r="L27" s="103">
        <f>IF(C27="ROT",VLOOKUP(I27,'GRADE OUT 25'!$C$46:$D$62,2,0),(IF(H27="MERCHANDISING",SUMIFS('GRADE OUT 25'!$AD$4:$AD$33,'GRADE OUT 25'!$Y$4:$Y$33,C27,'GRADE OUT 25'!$AE$4:$AE$33,I27),(IF(H27="INSERT",SUMIFS('GRADE OUT 25'!$AF$36:$AF$41,'GRADE OUT 25'!$Y$36:$Y$41,C27,'GRADE OUT 25'!$AE$36:$AE$41,I27),S27*T27)))))</f>
        <v>0</v>
      </c>
      <c r="M27" s="104">
        <f t="shared" si="13"/>
        <v>0</v>
      </c>
      <c r="N27" s="99"/>
      <c r="O27" s="107">
        <f t="shared" si="14"/>
        <v>0</v>
      </c>
      <c r="P27" s="108">
        <f t="shared" si="15"/>
        <v>0</v>
      </c>
      <c r="Q27" s="4"/>
      <c r="R27" s="111" t="str">
        <f>IF(ISERROR(VLOOKUP(C27,'GRADE OUT 25'!$B:$G,5,0)),"",VLOOKUP(C27,'GRADE OUT 25'!$B:$G,5,0))</f>
        <v/>
      </c>
      <c r="S27" s="112">
        <f>IF(ISERROR(VLOOKUP(C27,'GRADE OUT 25'!$B:$H,7,0)),0,VLOOKUP(C27,'GRADE OUT 25'!$B:$H,7,0))</f>
        <v>0</v>
      </c>
      <c r="T27" s="113" t="str">
        <f>IF(H27="INSERT",0.8,IF(ISERROR(IF(I27=180,6,IF(I27=150,5,IF(I27=120,4,IF(I27=90,3,IF(I27=60,2,IF(I27=45,1.5,IF(I27=30,1,IF(I27=10,0.4,IF(I27=7.5,0.4,IF(I27=7,0.4,IF(I27=5,0.375,IF(I27=15,VLOOKUP(C27,'GRADE OUT 25'!$B:$L,11,0),"0"))))))))))))),0,IF(I27=180,6,IF(I27=150,5,IF(I27=120,4,IF(I27=90,3,IF(I27=60,2,IF(I27=45,1.5,IF(I27=30,1,IF(I27=10,0.4,IF(I27=7.5,0.4,IF(I27=7,0.4,IF(I27=5,0.375,IF(I27=15,VLOOKUP(C27,'GRADE OUT 25'!$B:$L,11,0),"0"))))))))))))))</f>
        <v>0</v>
      </c>
      <c r="U27" s="4"/>
    </row>
    <row r="28" spans="2:22" ht="29.25" hidden="1" customHeight="1" x14ac:dyDescent="0.25">
      <c r="B28" s="177"/>
      <c r="C28" s="92"/>
      <c r="D28" s="89" t="str">
        <f>IF(ISERROR(VLOOKUP(C28,'GRADE OUT 25'!$B:$G,5,0)),"",VLOOKUP(C28,'GRADE OUT 25'!$B:$G,5,0))</f>
        <v/>
      </c>
      <c r="E28" s="102" t="str">
        <f>IF(ISERROR(VLOOKUP(C28,'GRADE OUT 25'!$B:$G,2,0)),"",VLOOKUP(C28,'GRADE OUT 25'!$B:$G,2,0))</f>
        <v/>
      </c>
      <c r="F28" s="90" t="str">
        <f>IF(ISERROR(VLOOKUP(C28,'GRADE OUT 25'!$B:$G,3,0)),"",VLOOKUP(C28,'GRADE OUT 25'!$B:$G,3,0))</f>
        <v/>
      </c>
      <c r="G28" s="96"/>
      <c r="H28" s="93"/>
      <c r="I28" s="97"/>
      <c r="J28" s="98"/>
      <c r="K28" s="4"/>
      <c r="L28" s="105">
        <f>IF(C28="ROT",VLOOKUP(I28,'GRADE OUT 25'!$C$46:$D$62,2,0),(IF(H28="MERCHANDISING",SUMIFS('GRADE OUT 25'!$AD$4:$AD$33,'GRADE OUT 25'!$Y$4:$Y$33,C28,'GRADE OUT 25'!$AE$4:$AE$33,I28),(IF(H28="INSERT",SUMIFS('GRADE OUT 25'!$AF$36:$AF$41,'GRADE OUT 25'!$Y$36:$Y$41,C28,'GRADE OUT 25'!$AE$36:$AE$41,I28),S28*T28)))))</f>
        <v>0</v>
      </c>
      <c r="M28" s="106">
        <f t="shared" si="13"/>
        <v>0</v>
      </c>
      <c r="N28" s="100"/>
      <c r="O28" s="109">
        <f t="shared" si="14"/>
        <v>0</v>
      </c>
      <c r="P28" s="110">
        <f t="shared" si="15"/>
        <v>0</v>
      </c>
      <c r="Q28" s="4"/>
      <c r="R28" s="114" t="str">
        <f>IF(ISERROR(VLOOKUP(C28,'GRADE OUT 25'!$B:$G,5,0)),"",VLOOKUP(C28,'GRADE OUT 25'!$B:$G,5,0))</f>
        <v/>
      </c>
      <c r="S28" s="115">
        <f>IF(ISERROR(VLOOKUP(C28,'GRADE OUT 25'!$B:$H,7,0)),0,VLOOKUP(C28,'GRADE OUT 25'!$B:$H,7,0))</f>
        <v>0</v>
      </c>
      <c r="T28" s="116" t="str">
        <f>IF(H28="INSERT",0.8,IF(ISERROR(IF(I28=180,6,IF(I28=150,5,IF(I28=120,4,IF(I28=90,3,IF(I28=60,2,IF(I28=45,1.5,IF(I28=30,1,IF(I28=10,0.4,IF(I28=7.5,0.4,IF(I28=7,0.4,IF(I28=5,0.375,IF(I28=15,VLOOKUP(C28,'GRADE OUT 25'!$B:$L,11,0),"0"))))))))))))),0,IF(I28=180,6,IF(I28=150,5,IF(I28=120,4,IF(I28=90,3,IF(I28=60,2,IF(I28=45,1.5,IF(I28=30,1,IF(I28=10,0.4,IF(I28=7.5,0.4,IF(I28=7,0.4,IF(I28=5,0.375,IF(I28=15,VLOOKUP(C28,'GRADE OUT 25'!$B:$L,11,0),"0"))))))))))))))</f>
        <v>0</v>
      </c>
      <c r="U28" s="4"/>
    </row>
    <row r="29" spans="2:22" ht="9.75" hidden="1" customHeight="1" x14ac:dyDescent="0.25"/>
    <row r="30" spans="2:22" ht="18" hidden="1" customHeight="1" x14ac:dyDescent="0.25"/>
    <row r="31" spans="2:22" ht="51" customHeight="1" x14ac:dyDescent="0.25">
      <c r="B31" s="175" t="s">
        <v>23</v>
      </c>
      <c r="C31" s="176"/>
      <c r="D31" s="176"/>
      <c r="E31" s="176"/>
      <c r="F31" s="176"/>
      <c r="G31" s="176"/>
      <c r="H31" s="176"/>
      <c r="I31" s="128"/>
      <c r="J31" s="129">
        <f>SUM(J14:J28)</f>
        <v>133.32</v>
      </c>
      <c r="K31" s="5"/>
      <c r="L31" s="130"/>
      <c r="M31" s="131">
        <f>SUM(M14:M28)</f>
        <v>524791.52124999999</v>
      </c>
      <c r="N31" s="132"/>
      <c r="O31" s="133"/>
      <c r="P31" s="134">
        <f>SUM(P14:P28)</f>
        <v>524791.52124999999</v>
      </c>
      <c r="Q31" s="5"/>
      <c r="R31" s="135"/>
      <c r="S31" s="136"/>
      <c r="T31" s="137"/>
      <c r="U31" s="5"/>
      <c r="V31" s="138">
        <f>SUM(V18:V19)</f>
        <v>21023.016000000003</v>
      </c>
    </row>
    <row r="32" spans="2:22" ht="19.5" customHeight="1" x14ac:dyDescent="0.25">
      <c r="B32" s="1"/>
      <c r="C32" s="1"/>
      <c r="D32" s="1"/>
      <c r="E32" s="7"/>
      <c r="F32" s="7"/>
      <c r="G32" s="7"/>
      <c r="H32" s="7"/>
      <c r="I32" s="7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9.5" customHeight="1" x14ac:dyDescent="0.25">
      <c r="B33" s="9" t="s">
        <v>21</v>
      </c>
      <c r="C33" s="9"/>
      <c r="D33" s="9"/>
      <c r="E33" s="7"/>
      <c r="F33" s="7"/>
      <c r="G33" s="7"/>
      <c r="H33" s="7"/>
      <c r="I33" s="7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9.5" customHeight="1" x14ac:dyDescent="0.25">
      <c r="B34" s="9" t="s">
        <v>26</v>
      </c>
      <c r="C34" s="9"/>
      <c r="D34" s="9"/>
      <c r="E34" s="7"/>
      <c r="F34" s="7"/>
      <c r="G34" s="7"/>
      <c r="H34" s="7"/>
      <c r="I34" s="7"/>
      <c r="J34" s="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7" spans="2:22" ht="45" customHeight="1" x14ac:dyDescent="0.25">
      <c r="C37" s="181" t="s">
        <v>178</v>
      </c>
      <c r="D37" s="182"/>
      <c r="E37" s="182"/>
      <c r="F37" s="182"/>
      <c r="G37" s="182"/>
      <c r="H37" s="182"/>
      <c r="I37" s="182"/>
      <c r="J37" s="183"/>
      <c r="K37" s="2"/>
      <c r="L37" s="184" t="s">
        <v>0</v>
      </c>
      <c r="M37" s="184"/>
      <c r="N37" s="184"/>
      <c r="O37" s="184"/>
      <c r="P37" s="184"/>
      <c r="Q37" s="2"/>
      <c r="U37" s="2"/>
    </row>
    <row r="38" spans="2:22" ht="27" customHeight="1" x14ac:dyDescent="0.25">
      <c r="C38" s="185" t="s">
        <v>33</v>
      </c>
      <c r="D38" s="185" t="s">
        <v>1</v>
      </c>
      <c r="E38" s="185" t="s">
        <v>2</v>
      </c>
      <c r="F38" s="185"/>
      <c r="G38" s="185" t="s">
        <v>20</v>
      </c>
      <c r="H38" s="185" t="s">
        <v>22</v>
      </c>
      <c r="I38" s="185" t="s">
        <v>19</v>
      </c>
      <c r="J38" s="185" t="s">
        <v>3</v>
      </c>
      <c r="K38" s="3"/>
      <c r="L38" s="186" t="s">
        <v>11</v>
      </c>
      <c r="M38" s="187"/>
      <c r="N38" s="187"/>
      <c r="O38" s="187"/>
      <c r="P38" s="188"/>
      <c r="Q38" s="3"/>
      <c r="U38" s="3"/>
    </row>
    <row r="39" spans="2:22" ht="27" customHeight="1" x14ac:dyDescent="0.25">
      <c r="C39" s="185"/>
      <c r="D39" s="185"/>
      <c r="E39" s="185"/>
      <c r="F39" s="185"/>
      <c r="G39" s="185"/>
      <c r="H39" s="185"/>
      <c r="I39" s="185"/>
      <c r="J39" s="185"/>
      <c r="K39" s="3"/>
      <c r="L39" s="189"/>
      <c r="M39" s="190"/>
      <c r="N39" s="190"/>
      <c r="O39" s="190"/>
      <c r="P39" s="191"/>
      <c r="Q39" s="3"/>
      <c r="U39" s="3"/>
    </row>
    <row r="40" spans="2:22" ht="33.75" customHeight="1" x14ac:dyDescent="0.25">
      <c r="C40" s="185"/>
      <c r="D40" s="185"/>
      <c r="E40" s="122" t="s">
        <v>5</v>
      </c>
      <c r="F40" s="122" t="s">
        <v>6</v>
      </c>
      <c r="G40" s="185"/>
      <c r="H40" s="185"/>
      <c r="I40" s="185"/>
      <c r="J40" s="185"/>
      <c r="K40" s="3"/>
      <c r="L40" s="192" t="s">
        <v>8</v>
      </c>
      <c r="M40" s="193"/>
      <c r="N40" s="192" t="s">
        <v>9</v>
      </c>
      <c r="O40" s="194"/>
      <c r="P40" s="193"/>
      <c r="Q40" s="3"/>
      <c r="U40" s="3"/>
    </row>
    <row r="41" spans="2:22" ht="15.75" customHeight="1" x14ac:dyDescent="0.25">
      <c r="L41" s="145"/>
      <c r="M41" s="144"/>
      <c r="N41" s="146"/>
      <c r="O41" s="147"/>
      <c r="P41" s="148"/>
    </row>
    <row r="42" spans="2:22" ht="29.25" customHeight="1" x14ac:dyDescent="0.25">
      <c r="B42" s="177" t="s">
        <v>178</v>
      </c>
      <c r="C42" s="92" t="s">
        <v>49</v>
      </c>
      <c r="D42" s="89" t="str">
        <f>IF(ISERROR(VLOOKUP(C42,'GRADE OUT 25'!$B:$G,5,0)),"",VLOOKUP(C42,'GRADE OUT 25'!$B:$G,5,0))</f>
        <v>GOIÁS NO AR</v>
      </c>
      <c r="E42" s="101" t="str">
        <f>IF(ISERROR(VLOOKUP(C42,'GRADE OUT 25'!$B:$G,2,0)),"",VLOOKUP(C42,'GRADE OUT 25'!$B:$G,2,0))</f>
        <v>SEG/SEX</v>
      </c>
      <c r="F42" s="88" t="str">
        <f>IF(ISERROR(VLOOKUP(C42,'GRADE OUT 25'!$B:$G,3,0)),"",VLOOKUP(C42,'GRADE OUT 25'!$B:$G,3,0))</f>
        <v>06H30</v>
      </c>
      <c r="G42" s="93" t="s">
        <v>176</v>
      </c>
      <c r="H42" s="93" t="s">
        <v>177</v>
      </c>
      <c r="I42" s="94">
        <v>60</v>
      </c>
      <c r="J42" s="143">
        <v>4.33</v>
      </c>
      <c r="K42" s="4"/>
      <c r="L42" s="178">
        <f>O18*0.05</f>
        <v>295.8</v>
      </c>
      <c r="M42" s="179"/>
      <c r="N42" s="178">
        <f>J42*L42</f>
        <v>1280.8140000000001</v>
      </c>
      <c r="O42" s="180"/>
      <c r="P42" s="179"/>
      <c r="Q42" s="4"/>
      <c r="U42" s="4"/>
    </row>
    <row r="43" spans="2:22" ht="29.25" customHeight="1" x14ac:dyDescent="0.25">
      <c r="B43" s="177" t="s">
        <v>28</v>
      </c>
      <c r="C43" s="92" t="s">
        <v>56</v>
      </c>
      <c r="D43" s="89" t="str">
        <f>IF(ISERROR(VLOOKUP(C43,'GRADE OUT 25'!$B:$G,5,0)),"",VLOOKUP(C43,'GRADE OUT 25'!$B:$G,5,0))</f>
        <v>BALANÇO GERAL GO</v>
      </c>
      <c r="E43" s="101" t="str">
        <f>IF(ISERROR(VLOOKUP(C43,'GRADE OUT 25'!$B:$G,2,0)),"",VLOOKUP(C43,'GRADE OUT 25'!$B:$G,2,0))</f>
        <v>SEG/SEX</v>
      </c>
      <c r="F43" s="88" t="str">
        <f>IF(ISERROR(VLOOKUP(C43,'GRADE OUT 25'!$B:$G,3,0)),"",VLOOKUP(C43,'GRADE OUT 25'!$B:$G,3,0))</f>
        <v>11H30</v>
      </c>
      <c r="G43" s="93" t="s">
        <v>176</v>
      </c>
      <c r="H43" s="93" t="s">
        <v>177</v>
      </c>
      <c r="I43" s="94">
        <v>60</v>
      </c>
      <c r="J43" s="143">
        <v>4.33</v>
      </c>
      <c r="K43" s="4"/>
      <c r="L43" s="178">
        <f>O19*0.05</f>
        <v>918</v>
      </c>
      <c r="M43" s="179"/>
      <c r="N43" s="178">
        <f>J43*L43</f>
        <v>3974.94</v>
      </c>
      <c r="O43" s="180"/>
      <c r="P43" s="179"/>
      <c r="Q43" s="4"/>
      <c r="U43" s="4"/>
    </row>
    <row r="45" spans="2:22" ht="51" customHeight="1" x14ac:dyDescent="0.25">
      <c r="B45" s="175" t="s">
        <v>179</v>
      </c>
      <c r="C45" s="176"/>
      <c r="D45" s="176"/>
      <c r="E45" s="176"/>
      <c r="F45" s="176"/>
      <c r="G45" s="176"/>
      <c r="H45" s="176"/>
      <c r="I45" s="128"/>
      <c r="J45" s="149">
        <f>SUM(J42:J43)</f>
        <v>8.66</v>
      </c>
      <c r="K45" s="5"/>
      <c r="L45" s="130"/>
      <c r="M45" s="131"/>
      <c r="N45" s="132"/>
      <c r="O45" s="133"/>
      <c r="P45" s="134">
        <f>SUM(M42:P43)</f>
        <v>5255.7539999999999</v>
      </c>
      <c r="Q45" s="5"/>
      <c r="R45" s="134">
        <f>P45+'MTP GO'!L6</f>
        <v>56905.754000000001</v>
      </c>
    </row>
    <row r="47" spans="2:22" ht="51" customHeight="1" x14ac:dyDescent="0.25">
      <c r="B47" s="175" t="s">
        <v>180</v>
      </c>
      <c r="C47" s="176"/>
      <c r="D47" s="176"/>
      <c r="E47" s="176"/>
      <c r="F47" s="176"/>
      <c r="G47" s="176"/>
      <c r="H47" s="176"/>
      <c r="I47" s="128"/>
      <c r="J47" s="129"/>
      <c r="K47" s="5"/>
      <c r="L47" s="130"/>
      <c r="M47" s="131"/>
      <c r="N47" s="132"/>
      <c r="O47" s="133"/>
      <c r="P47" s="134">
        <f>P31+P45+V31</f>
        <v>551070.29125000001</v>
      </c>
      <c r="Q47" s="5"/>
    </row>
  </sheetData>
  <mergeCells count="39"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N11:N13"/>
    <mergeCell ref="O11:P12"/>
    <mergeCell ref="R11:T12"/>
    <mergeCell ref="V11:V12"/>
    <mergeCell ref="L11:M12"/>
    <mergeCell ref="B14:B16"/>
    <mergeCell ref="B18:B19"/>
    <mergeCell ref="B21:B24"/>
    <mergeCell ref="B26:B28"/>
    <mergeCell ref="B31:H31"/>
    <mergeCell ref="C37:J37"/>
    <mergeCell ref="L37:P37"/>
    <mergeCell ref="C38:C40"/>
    <mergeCell ref="D38:D40"/>
    <mergeCell ref="E38:F39"/>
    <mergeCell ref="G38:G40"/>
    <mergeCell ref="H38:H40"/>
    <mergeCell ref="I38:I40"/>
    <mergeCell ref="J38:J40"/>
    <mergeCell ref="L38:P39"/>
    <mergeCell ref="L40:M40"/>
    <mergeCell ref="N40:P40"/>
    <mergeCell ref="B45:H45"/>
    <mergeCell ref="B47:H47"/>
    <mergeCell ref="B42:B43"/>
    <mergeCell ref="L42:M42"/>
    <mergeCell ref="N42:P42"/>
    <mergeCell ref="L43:M43"/>
    <mergeCell ref="N43:P4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08DC0-A1BB-4555-9036-A9ECC6F5914F}">
          <x14:formula1>
            <xm:f>LISTA!$A$1:$A$4</xm:f>
          </x14:formula1>
          <xm:sqref>H14:H16 H18:H19 H21:H24 H26:H28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8014-4737-4481-92AB-7EC922263930}">
  <dimension ref="A1:O6"/>
  <sheetViews>
    <sheetView topLeftCell="E1" workbookViewId="0">
      <selection activeCell="D18" sqref="D18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202" t="s">
        <v>163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1:15" ht="26.25" thickBot="1" x14ac:dyDescent="0.3">
      <c r="A2" s="150" t="s">
        <v>181</v>
      </c>
      <c r="B2" s="151" t="s">
        <v>182</v>
      </c>
      <c r="C2" s="152" t="s">
        <v>183</v>
      </c>
      <c r="D2" s="151" t="s">
        <v>184</v>
      </c>
      <c r="E2" s="205" t="s">
        <v>185</v>
      </c>
      <c r="F2" s="205"/>
      <c r="G2" s="153" t="s">
        <v>186</v>
      </c>
      <c r="H2" s="153" t="s">
        <v>187</v>
      </c>
      <c r="I2" s="153" t="s">
        <v>188</v>
      </c>
      <c r="J2" s="206" t="s">
        <v>189</v>
      </c>
      <c r="K2" s="207"/>
      <c r="L2" s="154" t="s">
        <v>190</v>
      </c>
      <c r="M2" s="155" t="s">
        <v>191</v>
      </c>
      <c r="N2" s="156" t="s">
        <v>192</v>
      </c>
      <c r="O2" s="157" t="s">
        <v>193</v>
      </c>
    </row>
    <row r="3" spans="1:15" ht="63.75" x14ac:dyDescent="0.25">
      <c r="A3" s="158" t="s">
        <v>194</v>
      </c>
      <c r="B3" s="159" t="s">
        <v>195</v>
      </c>
      <c r="C3" s="159" t="s">
        <v>195</v>
      </c>
      <c r="D3" s="160" t="s">
        <v>196</v>
      </c>
      <c r="E3" s="159">
        <v>1</v>
      </c>
      <c r="F3" s="159" t="s">
        <v>197</v>
      </c>
      <c r="G3" s="159" t="s">
        <v>198</v>
      </c>
      <c r="H3" s="161">
        <f>35000*E3</f>
        <v>35000</v>
      </c>
      <c r="I3" s="162" t="s">
        <v>199</v>
      </c>
      <c r="J3" s="163">
        <v>14000</v>
      </c>
      <c r="K3" s="159" t="s">
        <v>197</v>
      </c>
      <c r="L3" s="163">
        <f t="shared" ref="L3" si="0">J3*E3</f>
        <v>14000</v>
      </c>
      <c r="M3" s="164">
        <v>0</v>
      </c>
      <c r="N3" s="163">
        <f>J3-(J3*M3)</f>
        <v>14000</v>
      </c>
      <c r="O3" s="165">
        <f>L3-(L3*M3)</f>
        <v>14000</v>
      </c>
    </row>
    <row r="4" spans="1:15" ht="51" x14ac:dyDescent="0.25">
      <c r="A4" s="158" t="s">
        <v>200</v>
      </c>
      <c r="B4" s="159" t="s">
        <v>201</v>
      </c>
      <c r="C4" s="159" t="s">
        <v>202</v>
      </c>
      <c r="D4" s="160" t="s">
        <v>203</v>
      </c>
      <c r="E4" s="159">
        <v>1</v>
      </c>
      <c r="F4" s="159" t="s">
        <v>204</v>
      </c>
      <c r="G4" s="159" t="s">
        <v>202</v>
      </c>
      <c r="H4" s="161">
        <v>150000</v>
      </c>
      <c r="I4" s="162" t="s">
        <v>205</v>
      </c>
      <c r="J4" s="163">
        <v>91</v>
      </c>
      <c r="K4" s="159" t="s">
        <v>206</v>
      </c>
      <c r="L4" s="166">
        <f>J4*H4/1000</f>
        <v>13650</v>
      </c>
      <c r="M4" s="164">
        <v>0</v>
      </c>
      <c r="N4" s="163">
        <f>J4-(J4*M4)</f>
        <v>91</v>
      </c>
      <c r="O4" s="167">
        <f t="shared" ref="O4:O5" si="1">L4-(L4*M4)</f>
        <v>13650</v>
      </c>
    </row>
    <row r="5" spans="1:15" x14ac:dyDescent="0.25">
      <c r="A5" s="158" t="s">
        <v>207</v>
      </c>
      <c r="B5" s="159" t="s">
        <v>208</v>
      </c>
      <c r="C5" s="159" t="s">
        <v>209</v>
      </c>
      <c r="D5" s="160" t="s">
        <v>210</v>
      </c>
      <c r="E5" s="159">
        <v>1</v>
      </c>
      <c r="F5" s="159" t="s">
        <v>204</v>
      </c>
      <c r="G5" s="159" t="s">
        <v>198</v>
      </c>
      <c r="H5" s="161">
        <v>60000</v>
      </c>
      <c r="I5" s="162" t="s">
        <v>205</v>
      </c>
      <c r="J5" s="163">
        <v>400</v>
      </c>
      <c r="K5" s="159" t="s">
        <v>206</v>
      </c>
      <c r="L5" s="163">
        <f>J5*H5/1000</f>
        <v>24000</v>
      </c>
      <c r="M5" s="164">
        <v>0</v>
      </c>
      <c r="N5" s="163">
        <f t="shared" ref="N5" si="2">J5-(J5*M5)</f>
        <v>400</v>
      </c>
      <c r="O5" s="165">
        <f t="shared" si="1"/>
        <v>24000</v>
      </c>
    </row>
    <row r="6" spans="1:15" ht="21" x14ac:dyDescent="0.25">
      <c r="A6" s="208" t="s">
        <v>9</v>
      </c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8">
        <f>SUM(L3:L5)</f>
        <v>51650</v>
      </c>
      <c r="M6" s="164">
        <v>0</v>
      </c>
      <c r="N6" s="148"/>
      <c r="O6" s="169">
        <f>SUM(O3:O5)</f>
        <v>51650</v>
      </c>
    </row>
  </sheetData>
  <mergeCells count="4">
    <mergeCell ref="A1:O1"/>
    <mergeCell ref="E2:F2"/>
    <mergeCell ref="J2:K2"/>
    <mergeCell ref="A6:K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2025-10-29T14:22:06Z</dcterms:modified>
</cp:coreProperties>
</file>